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<sst xmlns="http://schemas.openxmlformats.org/spreadsheetml/2006/main" count="1722" uniqueCount="323">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</sst>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319</v>
      </c>
      <c r="N3" s="262" t="s">
        <v>320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315</v>
      </c>
      <c r="F4" s="245" t="s">
        <v>116</v>
      </c>
      <c r="G4" s="247" t="s">
        <v>316</v>
      </c>
      <c r="H4" s="249" t="s">
        <v>317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322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318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548521.32</v>
      </c>
      <c r="G8" s="18">
        <f aca="true" t="shared" si="0" ref="G8:G54">F8-E8</f>
        <v>7877.749999999884</v>
      </c>
      <c r="H8" s="45">
        <f>F8/E8*100</f>
        <v>101.45710601903576</v>
      </c>
      <c r="I8" s="31">
        <f aca="true" t="shared" si="1" ref="I8:I54">F8-D8</f>
        <v>-23767.68000000005</v>
      </c>
      <c r="J8" s="31">
        <f aca="true" t="shared" si="2" ref="J8:J14">F8/D8*100</f>
        <v>95.84690951599629</v>
      </c>
      <c r="K8" s="18">
        <f>K9+K15+K18+K19+K20+K32</f>
        <v>102497.36600000001</v>
      </c>
      <c r="L8" s="18"/>
      <c r="M8" s="18">
        <f>M9+M15+M18+M19+M20+M32+M17</f>
        <v>37118.100000000006</v>
      </c>
      <c r="N8" s="18">
        <f>N9+N15+N18+N19+N20+N32+N17</f>
        <v>5935.089999999989</v>
      </c>
      <c r="O8" s="31">
        <f aca="true" t="shared" si="3" ref="O8:O54">N8-M8</f>
        <v>-31183.010000000017</v>
      </c>
      <c r="P8" s="31">
        <f>F8/M8*100</f>
        <v>1477.7731618805915</v>
      </c>
      <c r="Q8" s="31">
        <f>N8-33748.16</f>
        <v>-27813.070000000014</v>
      </c>
      <c r="R8" s="125">
        <f>N8/33748.16</f>
        <v>0.175864106369058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298608.74</v>
      </c>
      <c r="G9" s="43">
        <f t="shared" si="0"/>
        <v>8641.619999999995</v>
      </c>
      <c r="H9" s="35">
        <f aca="true" t="shared" si="4" ref="H9:H38">F9/E9*100</f>
        <v>102.98020685931564</v>
      </c>
      <c r="I9" s="50">
        <f t="shared" si="1"/>
        <v>-14081.26000000001</v>
      </c>
      <c r="J9" s="50">
        <f t="shared" si="2"/>
        <v>95.49673478525057</v>
      </c>
      <c r="K9" s="132">
        <f>F9-349197.38/75*60</f>
        <v>19250.83600000001</v>
      </c>
      <c r="L9" s="132">
        <f>F9/(349197.38/75*60)*100</f>
        <v>106.89110124480317</v>
      </c>
      <c r="M9" s="35">
        <f>E9-жовтень!E9</f>
        <v>20102</v>
      </c>
      <c r="N9" s="35">
        <f>F9-жовтень!F9</f>
        <v>2333.4099999999744</v>
      </c>
      <c r="O9" s="47">
        <f t="shared" si="3"/>
        <v>-17768.590000000026</v>
      </c>
      <c r="P9" s="50">
        <f aca="true" t="shared" si="5" ref="P9:P32">N9/M9*100</f>
        <v>11.607849965177467</v>
      </c>
      <c r="Q9" s="132">
        <f>N9-26568.11</f>
        <v>-24234.700000000026</v>
      </c>
      <c r="R9" s="133">
        <f>N9/26568.11</f>
        <v>0.08782747436682453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264646.03</v>
      </c>
      <c r="G10" s="135">
        <f t="shared" si="0"/>
        <v>12285.210000000021</v>
      </c>
      <c r="H10" s="137">
        <f t="shared" si="4"/>
        <v>104.86811304544025</v>
      </c>
      <c r="I10" s="136">
        <f t="shared" si="1"/>
        <v>24236.030000000028</v>
      </c>
      <c r="J10" s="136">
        <f t="shared" si="2"/>
        <v>110.08112391331477</v>
      </c>
      <c r="K10" s="138">
        <f>F10-310040.1/75*60</f>
        <v>16613.95000000007</v>
      </c>
      <c r="L10" s="138">
        <f>F10/(310040.1/75*60)*100</f>
        <v>106.6983069286844</v>
      </c>
      <c r="M10" s="137">
        <f>E10-жовтень!E10</f>
        <v>16400</v>
      </c>
      <c r="N10" s="137">
        <f>F10-жовтень!F10</f>
        <v>2010.75</v>
      </c>
      <c r="O10" s="138">
        <f t="shared" si="3"/>
        <v>-14389.25</v>
      </c>
      <c r="P10" s="136">
        <f t="shared" si="5"/>
        <v>12.260670731707316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15810.17</v>
      </c>
      <c r="G11" s="135">
        <f t="shared" si="0"/>
        <v>-5159.730000000001</v>
      </c>
      <c r="H11" s="137">
        <f t="shared" si="4"/>
        <v>75.39458938764609</v>
      </c>
      <c r="I11" s="136">
        <f t="shared" si="1"/>
        <v>-7889.83</v>
      </c>
      <c r="J11" s="136">
        <f t="shared" si="2"/>
        <v>66.70957805907173</v>
      </c>
      <c r="K11" s="138">
        <f>F11-24192.03/75*60</f>
        <v>-3543.453999999996</v>
      </c>
      <c r="L11" s="138">
        <f>F11/(24192.03/75*60)*100</f>
        <v>81.69100526082353</v>
      </c>
      <c r="M11" s="137">
        <f>E11-жовтень!E11</f>
        <v>2052</v>
      </c>
      <c r="N11" s="137">
        <f>F11-жовтень!F11</f>
        <v>1.1299999999991996</v>
      </c>
      <c r="O11" s="138">
        <f t="shared" si="3"/>
        <v>-2050.870000000001</v>
      </c>
      <c r="P11" s="136">
        <f t="shared" si="5"/>
        <v>0.05506822612081869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4207.68</v>
      </c>
      <c r="G12" s="135">
        <f t="shared" si="0"/>
        <v>-661.3199999999997</v>
      </c>
      <c r="H12" s="137">
        <f t="shared" si="4"/>
        <v>86.41774491682071</v>
      </c>
      <c r="I12" s="136">
        <f t="shared" si="1"/>
        <v>-1592.3199999999997</v>
      </c>
      <c r="J12" s="136">
        <f t="shared" si="2"/>
        <v>72.54620689655172</v>
      </c>
      <c r="K12" s="138">
        <f>F12-6123.95/75*60</f>
        <v>-691.4799999999996</v>
      </c>
      <c r="L12" s="138">
        <f>F12/(6123.95*60)*100</f>
        <v>1.1451432490467754</v>
      </c>
      <c r="M12" s="137">
        <f>E12-жовтень!E12</f>
        <v>420</v>
      </c>
      <c r="N12" s="137">
        <f>F12-жовтень!F12</f>
        <v>38.539999999999964</v>
      </c>
      <c r="O12" s="138">
        <f t="shared" si="3"/>
        <v>-381.46000000000004</v>
      </c>
      <c r="P12" s="136">
        <f t="shared" si="5"/>
        <v>9.176190476190467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6164.67</v>
      </c>
      <c r="G13" s="135">
        <f t="shared" si="0"/>
        <v>-1618.7299999999996</v>
      </c>
      <c r="H13" s="137">
        <f t="shared" si="4"/>
        <v>79.2027905542565</v>
      </c>
      <c r="I13" s="136">
        <f t="shared" si="1"/>
        <v>-2235.33</v>
      </c>
      <c r="J13" s="136">
        <f t="shared" si="2"/>
        <v>73.38892857142856</v>
      </c>
      <c r="K13" s="138">
        <f>F13-8694.58/75*60</f>
        <v>-790.9939999999997</v>
      </c>
      <c r="L13" s="138">
        <f>F13/(8694.58/75*60)*100</f>
        <v>88.62805908968576</v>
      </c>
      <c r="M13" s="137">
        <f>E13-жовтень!E13</f>
        <v>840</v>
      </c>
      <c r="N13" s="137">
        <f>F13-жовтень!F13</f>
        <v>65.80000000000018</v>
      </c>
      <c r="O13" s="138">
        <f t="shared" si="3"/>
        <v>-774.1999999999998</v>
      </c>
      <c r="P13" s="136">
        <f t="shared" si="5"/>
        <v>7.833333333333354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7780.19</v>
      </c>
      <c r="G14" s="135">
        <f t="shared" si="0"/>
        <v>3796.1899999999996</v>
      </c>
      <c r="H14" s="137">
        <f t="shared" si="4"/>
        <v>195.28589357429718</v>
      </c>
      <c r="I14" s="136">
        <f t="shared" si="1"/>
        <v>3400.1899999999996</v>
      </c>
      <c r="J14" s="136">
        <f t="shared" si="2"/>
        <v>177.62990867579907</v>
      </c>
      <c r="K14" s="138">
        <f>F14-146.72/75*60</f>
        <v>7662.813999999999</v>
      </c>
      <c r="L14" s="138">
        <f>F14/(146.72/75*60)*100</f>
        <v>6628.433410577972</v>
      </c>
      <c r="M14" s="137">
        <f>E14-жовтень!E14</f>
        <v>390</v>
      </c>
      <c r="N14" s="137">
        <f>F14-жовтень!F14</f>
        <v>217.21999999999935</v>
      </c>
      <c r="O14" s="138">
        <f t="shared" si="3"/>
        <v>-172.78000000000065</v>
      </c>
      <c r="P14" s="136">
        <f t="shared" si="5"/>
        <v>55.69743589743573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-550.64</v>
      </c>
      <c r="G15" s="43">
        <f t="shared" si="0"/>
        <v>-722.04</v>
      </c>
      <c r="H15" s="35"/>
      <c r="I15" s="50">
        <f t="shared" si="1"/>
        <v>-550.64</v>
      </c>
      <c r="J15" s="50" t="e">
        <f>F15/D15*100</f>
        <v>#DIV/0!</v>
      </c>
      <c r="K15" s="53">
        <f>F15-(-1352.56)</f>
        <v>801.92</v>
      </c>
      <c r="L15" s="53">
        <f>F15/(-1352.56)*100</f>
        <v>40.71094812799432</v>
      </c>
      <c r="M15" s="35">
        <f>E15-жовтень!E15</f>
        <v>0</v>
      </c>
      <c r="N15" s="35">
        <f>F15-жовтень!F15</f>
        <v>40.23000000000002</v>
      </c>
      <c r="O15" s="47">
        <f t="shared" si="3"/>
        <v>40.23000000000002</v>
      </c>
      <c r="P15" s="50"/>
      <c r="Q15" s="50">
        <f>N15-358.81</f>
        <v>-318.58</v>
      </c>
      <c r="R15" s="126">
        <f>N15/358.81</f>
        <v>0.11212062094144538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58500.42</v>
      </c>
      <c r="G19" s="43">
        <f t="shared" si="0"/>
        <v>-3162.3300000000017</v>
      </c>
      <c r="H19" s="35">
        <f t="shared" si="4"/>
        <v>94.87157157278908</v>
      </c>
      <c r="I19" s="50">
        <f t="shared" si="1"/>
        <v>-3709.5800000000017</v>
      </c>
      <c r="J19" s="178">
        <f>F19/D19*100</f>
        <v>94.0370036971548</v>
      </c>
      <c r="K19" s="179">
        <f>F19-0</f>
        <v>58500.42</v>
      </c>
      <c r="L19" s="180"/>
      <c r="M19" s="35">
        <f>E19-жовтень!E19</f>
        <v>4140</v>
      </c>
      <c r="N19" s="35">
        <f>F19-жовтень!F19</f>
        <v>15.369999999995343</v>
      </c>
      <c r="O19" s="47">
        <f t="shared" si="3"/>
        <v>-4124.630000000005</v>
      </c>
      <c r="P19" s="50">
        <f t="shared" si="5"/>
        <v>0.3712560386472305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186267.52</v>
      </c>
      <c r="G20" s="43">
        <f t="shared" si="0"/>
        <v>4944.0199999999895</v>
      </c>
      <c r="H20" s="35">
        <f t="shared" si="4"/>
        <v>102.72662947714994</v>
      </c>
      <c r="I20" s="50">
        <f t="shared" si="1"/>
        <v>-3602.4800000000105</v>
      </c>
      <c r="J20" s="178">
        <f aca="true" t="shared" si="6" ref="J20:J46">F20/D20*100</f>
        <v>98.10265971454152</v>
      </c>
      <c r="K20" s="178">
        <f>K21+K25+K26+K27</f>
        <v>25659.369999999988</v>
      </c>
      <c r="L20" s="136"/>
      <c r="M20" s="35">
        <f>E20-жовтень!E20</f>
        <v>11129.600000000006</v>
      </c>
      <c r="N20" s="35">
        <f>F20-жовтень!F20</f>
        <v>3452.49000000002</v>
      </c>
      <c r="O20" s="47">
        <f t="shared" si="3"/>
        <v>-7677.109999999986</v>
      </c>
      <c r="P20" s="50">
        <f t="shared" si="5"/>
        <v>31.020791403105395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101174.98999999999</v>
      </c>
      <c r="G21" s="43">
        <f t="shared" si="0"/>
        <v>-3340.0100000000093</v>
      </c>
      <c r="H21" s="35">
        <f t="shared" si="4"/>
        <v>96.8042768980529</v>
      </c>
      <c r="I21" s="50">
        <f t="shared" si="1"/>
        <v>-9125.01000000001</v>
      </c>
      <c r="J21" s="178">
        <f t="shared" si="6"/>
        <v>91.72709882139618</v>
      </c>
      <c r="K21" s="178">
        <f>K22+K23+K24</f>
        <v>25722.249999999993</v>
      </c>
      <c r="L21" s="136"/>
      <c r="M21" s="35">
        <f>E21-жовтень!E21</f>
        <v>8232.600000000006</v>
      </c>
      <c r="N21" s="35">
        <f>F21-жовтень!F21</f>
        <v>400.1999999999971</v>
      </c>
      <c r="O21" s="47">
        <f t="shared" si="3"/>
        <v>-7832.400000000009</v>
      </c>
      <c r="P21" s="50">
        <f t="shared" si="5"/>
        <v>4.861161722906455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12566.33</v>
      </c>
      <c r="G22" s="135">
        <f t="shared" si="0"/>
        <v>1866.33</v>
      </c>
      <c r="H22" s="137">
        <f t="shared" si="4"/>
        <v>117.44233644859814</v>
      </c>
      <c r="I22" s="136">
        <f t="shared" si="1"/>
        <v>1866.33</v>
      </c>
      <c r="J22" s="136">
        <f t="shared" si="6"/>
        <v>117.44233644859814</v>
      </c>
      <c r="K22" s="136">
        <f>F22-454.97</f>
        <v>12111.36</v>
      </c>
      <c r="L22" s="136">
        <f>F22/454.97*100</f>
        <v>2762.012879970108</v>
      </c>
      <c r="M22" s="137">
        <f>E22-жовтень!E22</f>
        <v>54.600000000000364</v>
      </c>
      <c r="N22" s="137">
        <f>F22-жовтень!F22</f>
        <v>80.20000000000073</v>
      </c>
      <c r="O22" s="138">
        <f t="shared" si="3"/>
        <v>25.600000000000364</v>
      </c>
      <c r="P22" s="136">
        <f t="shared" si="5"/>
        <v>146.88644688644723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3543.96</v>
      </c>
      <c r="G23" s="135">
        <f t="shared" si="0"/>
        <v>1443.96</v>
      </c>
      <c r="H23" s="137">
        <f t="shared" si="4"/>
        <v>168.76</v>
      </c>
      <c r="I23" s="136">
        <f t="shared" si="1"/>
        <v>1443.96</v>
      </c>
      <c r="J23" s="136">
        <f t="shared" si="6"/>
        <v>168.76</v>
      </c>
      <c r="K23" s="136">
        <f>F23-0</f>
        <v>3543.96</v>
      </c>
      <c r="L23" s="136"/>
      <c r="M23" s="137">
        <f>E23-жовтень!E23</f>
        <v>8</v>
      </c>
      <c r="N23" s="137">
        <f>F23-жовтень!F23</f>
        <v>50</v>
      </c>
      <c r="O23" s="138">
        <f t="shared" si="3"/>
        <v>42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85064.7</v>
      </c>
      <c r="G24" s="135">
        <f t="shared" si="0"/>
        <v>-6650.300000000003</v>
      </c>
      <c r="H24" s="137">
        <f t="shared" si="4"/>
        <v>92.7489505533446</v>
      </c>
      <c r="I24" s="136">
        <f t="shared" si="1"/>
        <v>-12435.300000000003</v>
      </c>
      <c r="J24" s="136">
        <f t="shared" si="6"/>
        <v>87.24584615384614</v>
      </c>
      <c r="K24" s="224">
        <f>F24-74997.77</f>
        <v>10066.929999999993</v>
      </c>
      <c r="L24" s="224">
        <f>F24/74997.77*100</f>
        <v>113.42297244304729</v>
      </c>
      <c r="M24" s="137">
        <f>E24-жовтень!E24</f>
        <v>8170</v>
      </c>
      <c r="N24" s="137">
        <f>F24-жовтень!F24</f>
        <v>270</v>
      </c>
      <c r="O24" s="138">
        <f t="shared" si="3"/>
        <v>-7900</v>
      </c>
      <c r="P24" s="136">
        <f t="shared" si="5"/>
        <v>3.3047735618115053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60.64</v>
      </c>
      <c r="G25" s="43">
        <f t="shared" si="0"/>
        <v>-2.8599999999999994</v>
      </c>
      <c r="H25" s="35">
        <f t="shared" si="4"/>
        <v>95.49606299212599</v>
      </c>
      <c r="I25" s="50">
        <f t="shared" si="1"/>
        <v>-9.36</v>
      </c>
      <c r="J25" s="178">
        <f t="shared" si="6"/>
        <v>86.62857142857143</v>
      </c>
      <c r="K25" s="178">
        <f>F25-65.36</f>
        <v>-4.719999999999999</v>
      </c>
      <c r="L25" s="178">
        <f>F25/65.36*100</f>
        <v>92.77845777233782</v>
      </c>
      <c r="M25" s="35">
        <f>E25-жовтень!E25</f>
        <v>12</v>
      </c>
      <c r="N25" s="35">
        <f>F25-жовтень!F25</f>
        <v>0</v>
      </c>
      <c r="O25" s="47">
        <f t="shared" si="3"/>
        <v>-12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F26-5772.25</f>
        <v>-6513.1900000000005</v>
      </c>
      <c r="L26" s="178">
        <f>F26/5772.25*100</f>
        <v>-12.836242366494869</v>
      </c>
      <c r="M26" s="35">
        <f>E26-жовтень!E26</f>
        <v>0</v>
      </c>
      <c r="N26" s="35">
        <f>F26-жовтень!F26</f>
        <v>0</v>
      </c>
      <c r="O26" s="47">
        <f t="shared" si="3"/>
        <v>0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85772.83</v>
      </c>
      <c r="G27" s="43">
        <f t="shared" si="0"/>
        <v>9027.830000000002</v>
      </c>
      <c r="H27" s="35">
        <f t="shared" si="4"/>
        <v>111.7634112971529</v>
      </c>
      <c r="I27" s="50">
        <f t="shared" si="1"/>
        <v>6272.830000000002</v>
      </c>
      <c r="J27" s="178">
        <f t="shared" si="6"/>
        <v>107.89035220125787</v>
      </c>
      <c r="K27" s="132">
        <f>F27-79317.8</f>
        <v>6455.029999999999</v>
      </c>
      <c r="L27" s="132">
        <f>F27/79317.8*100</f>
        <v>108.1381858800925</v>
      </c>
      <c r="M27" s="35">
        <f>E27-жовтень!E27</f>
        <v>2885</v>
      </c>
      <c r="N27" s="35">
        <f>F27-жовтень!F27</f>
        <v>3052.290000000008</v>
      </c>
      <c r="O27" s="47">
        <f t="shared" si="3"/>
        <v>167.29000000000815</v>
      </c>
      <c r="P27" s="50">
        <f t="shared" si="5"/>
        <v>105.79861351819785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20560.55</v>
      </c>
      <c r="G29" s="135">
        <f t="shared" si="0"/>
        <v>1750.5499999999993</v>
      </c>
      <c r="H29" s="137">
        <f t="shared" si="4"/>
        <v>109.30648591174908</v>
      </c>
      <c r="I29" s="136">
        <f t="shared" si="1"/>
        <v>1360.5499999999993</v>
      </c>
      <c r="J29" s="136">
        <f t="shared" si="6"/>
        <v>107.08619791666666</v>
      </c>
      <c r="K29" s="139">
        <f>F29-22211.27</f>
        <v>-1650.7200000000012</v>
      </c>
      <c r="L29" s="139">
        <f>F29/22211.27*100</f>
        <v>92.56809718669847</v>
      </c>
      <c r="M29" s="137">
        <f>E29-жовтень!E29</f>
        <v>730</v>
      </c>
      <c r="N29" s="137">
        <f>F29-жовтень!F29</f>
        <v>597.2199999999975</v>
      </c>
      <c r="O29" s="138">
        <f t="shared" si="3"/>
        <v>-132.78000000000247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65184.56</v>
      </c>
      <c r="G30" s="135">
        <f t="shared" si="0"/>
        <v>7249.559999999998</v>
      </c>
      <c r="H30" s="137">
        <f t="shared" si="4"/>
        <v>112.51326486579786</v>
      </c>
      <c r="I30" s="136">
        <f t="shared" si="1"/>
        <v>4884.559999999998</v>
      </c>
      <c r="J30" s="136">
        <f t="shared" si="6"/>
        <v>108.1004311774461</v>
      </c>
      <c r="K30" s="139">
        <f>F30-57105.32</f>
        <v>8079.239999999998</v>
      </c>
      <c r="L30" s="139">
        <f>F30/57105.32*100</f>
        <v>114.14796379741851</v>
      </c>
      <c r="M30" s="137">
        <f>E30-жовтень!E30</f>
        <v>2155</v>
      </c>
      <c r="N30" s="137">
        <f>F30-жовтень!F30</f>
        <v>2455.0699999999997</v>
      </c>
      <c r="O30" s="138">
        <f t="shared" si="3"/>
        <v>300.0699999999997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E31-жовтень!E31</f>
        <v>0</v>
      </c>
      <c r="N31" s="137">
        <f>F31-жовтень!F31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5587.74</v>
      </c>
      <c r="G32" s="43">
        <f t="shared" si="0"/>
        <v>-1912.0600000000004</v>
      </c>
      <c r="H32" s="35">
        <f t="shared" si="4"/>
        <v>74.50518680498146</v>
      </c>
      <c r="I32" s="50">
        <f t="shared" si="1"/>
        <v>-1912.2600000000002</v>
      </c>
      <c r="J32" s="178">
        <f t="shared" si="6"/>
        <v>74.50319999999999</v>
      </c>
      <c r="K32" s="178">
        <f>F32-7378.96</f>
        <v>-1791.2200000000003</v>
      </c>
      <c r="L32" s="178">
        <f>F32/7378.96*100</f>
        <v>75.72530546310048</v>
      </c>
      <c r="M32" s="35">
        <f>E32-жовтень!E32</f>
        <v>1740.5</v>
      </c>
      <c r="N32" s="35">
        <f>F32-жовтень!F32</f>
        <v>1.9899999999997817</v>
      </c>
      <c r="O32" s="47">
        <f t="shared" si="3"/>
        <v>-1738.5100000000002</v>
      </c>
      <c r="P32" s="50">
        <f t="shared" si="5"/>
        <v>0.11433496121802825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</f>
        <v>40439.439999999995</v>
      </c>
      <c r="G33" s="44">
        <f t="shared" si="0"/>
        <v>6194.869999999995</v>
      </c>
      <c r="H33" s="45">
        <f t="shared" si="4"/>
        <v>118.09007968270589</v>
      </c>
      <c r="I33" s="31">
        <f t="shared" si="1"/>
        <v>4799.869999999995</v>
      </c>
      <c r="J33" s="31">
        <f t="shared" si="6"/>
        <v>113.4678111997423</v>
      </c>
      <c r="K33" s="18">
        <f>K34+K35+K36+K37+K38+K41+K42+K47+K48+K52+K40</f>
        <v>28539.780000000002</v>
      </c>
      <c r="L33" s="18"/>
      <c r="M33" s="18">
        <f>M34+M35+M36+M37+M38+M41+M42+M47+M48+M52+M40+M39</f>
        <v>1694.3000000000002</v>
      </c>
      <c r="N33" s="18">
        <f>N34+N35+N36+N37+N38+N41+N42+N47+N48+N52+N40+N39</f>
        <v>5357.759999999998</v>
      </c>
      <c r="O33" s="49">
        <f t="shared" si="3"/>
        <v>3663.459999999998</v>
      </c>
      <c r="P33" s="31">
        <f>N33/M33*100</f>
        <v>316.22262881425945</v>
      </c>
      <c r="Q33" s="31">
        <f>N33-1017.63</f>
        <v>4340.129999999998</v>
      </c>
      <c r="R33" s="127">
        <f>N33/1017.63</f>
        <v>5.264939123256978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4"/>
        <v>-57.79</v>
      </c>
      <c r="I34" s="50">
        <f t="shared" si="1"/>
        <v>-157.79</v>
      </c>
      <c r="J34" s="50">
        <f t="shared" si="6"/>
        <v>-57.79</v>
      </c>
      <c r="K34" s="50">
        <f>F34-153.52</f>
        <v>-211.31</v>
      </c>
      <c r="L34" s="50">
        <f>F34/153.52*100</f>
        <v>-37.643303804064615</v>
      </c>
      <c r="M34" s="35">
        <f>E34-жовтень!E34</f>
        <v>0</v>
      </c>
      <c r="N34" s="35">
        <f>F34-жовтень!F34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7882.47</v>
      </c>
      <c r="F35" s="143">
        <v>12874.31</v>
      </c>
      <c r="G35" s="43">
        <f t="shared" si="0"/>
        <v>4991.839999999999</v>
      </c>
      <c r="H35" s="35">
        <f t="shared" si="4"/>
        <v>163.32837295923738</v>
      </c>
      <c r="I35" s="50">
        <f t="shared" si="1"/>
        <v>4941.839999999999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250</v>
      </c>
      <c r="N35" s="35">
        <f>F35-жовтень!F35</f>
        <v>4439.379999999999</v>
      </c>
      <c r="O35" s="47">
        <f t="shared" si="3"/>
        <v>4189.379999999999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350.77</v>
      </c>
      <c r="G36" s="43">
        <f t="shared" si="0"/>
        <v>110.76999999999998</v>
      </c>
      <c r="H36" s="35">
        <f t="shared" si="4"/>
        <v>146.15416666666664</v>
      </c>
      <c r="I36" s="50">
        <f t="shared" si="1"/>
        <v>110.76999999999998</v>
      </c>
      <c r="J36" s="50"/>
      <c r="K36" s="50">
        <f>F36-242.79</f>
        <v>107.97999999999999</v>
      </c>
      <c r="L36" s="50">
        <f>F36/242.79*100</f>
        <v>144.47464887351208</v>
      </c>
      <c r="M36" s="35">
        <f>E36-жовтень!E36</f>
        <v>0</v>
      </c>
      <c r="N36" s="35">
        <f>F36-жовтень!F36</f>
        <v>0.9599999999999795</v>
      </c>
      <c r="O36" s="47">
        <f t="shared" si="3"/>
        <v>0.9599999999999795</v>
      </c>
      <c r="P36" s="50"/>
      <c r="Q36" s="50">
        <f>N36-4.23</f>
        <v>-3.270000000000021</v>
      </c>
      <c r="R36" s="126">
        <f>N36/4.23</f>
        <v>0.22695035460992422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5.5</v>
      </c>
      <c r="F37" s="143">
        <v>0</v>
      </c>
      <c r="G37" s="43">
        <f t="shared" si="0"/>
        <v>-5.5</v>
      </c>
      <c r="H37" s="35">
        <f t="shared" si="4"/>
        <v>0</v>
      </c>
      <c r="I37" s="50">
        <f t="shared" si="1"/>
        <v>-6.5</v>
      </c>
      <c r="J37" s="50">
        <f t="shared" si="6"/>
        <v>0</v>
      </c>
      <c r="K37" s="50">
        <f>F37-5.94</f>
        <v>-5.94</v>
      </c>
      <c r="L37" s="50">
        <f>F37/5.94*100</f>
        <v>0</v>
      </c>
      <c r="M37" s="35">
        <f>E37-жовтень!E37</f>
        <v>1</v>
      </c>
      <c r="N37" s="35">
        <f>F37-жовтень!F37</f>
        <v>0</v>
      </c>
      <c r="O37" s="47">
        <f t="shared" si="3"/>
        <v>-1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257.9</v>
      </c>
      <c r="G38" s="43">
        <f t="shared" si="0"/>
        <v>127.89999999999998</v>
      </c>
      <c r="H38" s="35">
        <f t="shared" si="4"/>
        <v>198.38461538461536</v>
      </c>
      <c r="I38" s="50">
        <f t="shared" si="1"/>
        <v>117.89999999999998</v>
      </c>
      <c r="J38" s="50">
        <f t="shared" si="6"/>
        <v>184.21428571428572</v>
      </c>
      <c r="K38" s="50">
        <f>F38-121.56</f>
        <v>136.33999999999997</v>
      </c>
      <c r="L38" s="50">
        <f>F38/121.56*100</f>
        <v>212.1586048042119</v>
      </c>
      <c r="M38" s="35">
        <f>E38-жовтень!E38</f>
        <v>10</v>
      </c>
      <c r="N38" s="35">
        <f>F38-жовтень!F38</f>
        <v>2.0299999999999727</v>
      </c>
      <c r="O38" s="47">
        <f t="shared" si="3"/>
        <v>-7.970000000000027</v>
      </c>
      <c r="P38" s="50">
        <f>N38/M38*100</f>
        <v>20.299999999999727</v>
      </c>
      <c r="Q38" s="50">
        <f>N38-9.02</f>
        <v>-6.990000000000027</v>
      </c>
      <c r="R38" s="126">
        <f>N38/9.02</f>
        <v>0.22505543237250253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8475.25</v>
      </c>
      <c r="G40" s="43">
        <f t="shared" si="0"/>
        <v>-424.75</v>
      </c>
      <c r="H40" s="35">
        <f aca="true" t="shared" si="7" ref="H40:H46">F40/E40*100</f>
        <v>95.22752808988764</v>
      </c>
      <c r="I40" s="50">
        <f t="shared" si="1"/>
        <v>-524.75</v>
      </c>
      <c r="J40" s="50"/>
      <c r="K40" s="50">
        <f>F40-0</f>
        <v>8475.25</v>
      </c>
      <c r="L40" s="50"/>
      <c r="M40" s="35">
        <f>E40-жовтень!E40</f>
        <v>63</v>
      </c>
      <c r="N40" s="35">
        <f>F40-жовтень!F40</f>
        <v>91.54999999999927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8179.98</v>
      </c>
      <c r="G41" s="43">
        <f t="shared" si="0"/>
        <v>1829.9799999999996</v>
      </c>
      <c r="H41" s="35">
        <f t="shared" si="7"/>
        <v>128.81858267716535</v>
      </c>
      <c r="I41" s="50">
        <f t="shared" si="1"/>
        <v>1279.9799999999996</v>
      </c>
      <c r="J41" s="50">
        <f t="shared" si="6"/>
        <v>118.55043478260869</v>
      </c>
      <c r="K41" s="50">
        <f>F41-6573.91</f>
        <v>1606.0699999999997</v>
      </c>
      <c r="L41" s="50">
        <f>F41/6573.91*100</f>
        <v>124.43097030534341</v>
      </c>
      <c r="M41" s="35">
        <f>E41-жовтень!E41</f>
        <v>580</v>
      </c>
      <c r="N41" s="35">
        <f>F41-жовтень!F41</f>
        <v>687.1599999999999</v>
      </c>
      <c r="O41" s="47">
        <f t="shared" si="3"/>
        <v>107.15999999999985</v>
      </c>
      <c r="P41" s="50">
        <f>N41/M41*100</f>
        <v>118.4758620689655</v>
      </c>
      <c r="Q41" s="50">
        <f>N41-647.49</f>
        <v>39.669999999999845</v>
      </c>
      <c r="R41" s="126">
        <f>N41/647.49</f>
        <v>1.0612673554803933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6251.85</v>
      </c>
      <c r="G42" s="43">
        <f t="shared" si="0"/>
        <v>-559.75</v>
      </c>
      <c r="H42" s="35">
        <f t="shared" si="7"/>
        <v>91.78240061072287</v>
      </c>
      <c r="I42" s="50">
        <f t="shared" si="1"/>
        <v>-848.1499999999996</v>
      </c>
      <c r="J42" s="50">
        <f t="shared" si="6"/>
        <v>88.05422535211268</v>
      </c>
      <c r="K42" s="50">
        <f>F42-975.44</f>
        <v>5276.41</v>
      </c>
      <c r="L42" s="50">
        <f>F42/975.44*100</f>
        <v>640.92614614943</v>
      </c>
      <c r="M42" s="35">
        <f>E42-жовтень!E42</f>
        <v>420.3000000000002</v>
      </c>
      <c r="N42" s="35">
        <f>F42-жовтень!F42</f>
        <v>64.30000000000018</v>
      </c>
      <c r="O42" s="47">
        <f t="shared" si="3"/>
        <v>-356</v>
      </c>
      <c r="P42" s="50">
        <f>N42/M42*100</f>
        <v>15.298596240780432</v>
      </c>
      <c r="Q42" s="50">
        <f>N42-79.51</f>
        <v>-15.209999999999823</v>
      </c>
      <c r="R42" s="126">
        <f>N42/79.51</f>
        <v>0.8087033077600324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891.13</v>
      </c>
      <c r="G43" s="135">
        <f t="shared" si="0"/>
        <v>-118.87</v>
      </c>
      <c r="H43" s="35">
        <f t="shared" si="7"/>
        <v>88.23069306930694</v>
      </c>
      <c r="I43" s="136">
        <f t="shared" si="1"/>
        <v>-208.87</v>
      </c>
      <c r="J43" s="136">
        <f t="shared" si="6"/>
        <v>81.01181818181819</v>
      </c>
      <c r="K43" s="136">
        <f>F43-857.86</f>
        <v>33.26999999999998</v>
      </c>
      <c r="L43" s="136">
        <f>F43/857.86*100</f>
        <v>103.87825519315506</v>
      </c>
      <c r="M43" s="137">
        <f>E43-жовтень!E43</f>
        <v>100</v>
      </c>
      <c r="N43" s="137">
        <f>F43-жовтень!F43</f>
        <v>7.360000000000014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5315.86</v>
      </c>
      <c r="G46" s="135">
        <f t="shared" si="0"/>
        <v>-404.1400000000003</v>
      </c>
      <c r="H46" s="35">
        <f t="shared" si="7"/>
        <v>92.93461538461538</v>
      </c>
      <c r="I46" s="136">
        <f t="shared" si="1"/>
        <v>-602.1400000000003</v>
      </c>
      <c r="J46" s="136">
        <f t="shared" si="6"/>
        <v>89.82527881040892</v>
      </c>
      <c r="K46" s="136">
        <f>F46-117.58</f>
        <v>5198.28</v>
      </c>
      <c r="L46" s="136">
        <f>F46/117.58*100</f>
        <v>4521.058003061745</v>
      </c>
      <c r="M46" s="137">
        <f>E46-жовтень!E46</f>
        <v>310</v>
      </c>
      <c r="N46" s="137">
        <f>F46-жовтень!F46</f>
        <v>56.9399999999996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4083.23</v>
      </c>
      <c r="G48" s="43">
        <f t="shared" si="0"/>
        <v>263.23</v>
      </c>
      <c r="H48" s="35">
        <f>F48/E48*100</f>
        <v>106.89083769633507</v>
      </c>
      <c r="I48" s="50">
        <f t="shared" si="1"/>
        <v>-116.76999999999998</v>
      </c>
      <c r="J48" s="50">
        <f>F48/D48*100</f>
        <v>97.21976190476191</v>
      </c>
      <c r="K48" s="50">
        <f>F48-3812.69</f>
        <v>270.53999999999996</v>
      </c>
      <c r="L48" s="50">
        <f>F48/3812.69*100</f>
        <v>107.09577752190711</v>
      </c>
      <c r="M48" s="35">
        <f>E48-жовтень!E48</f>
        <v>370</v>
      </c>
      <c r="N48" s="35">
        <f>F48-жовтень!F48</f>
        <v>72.38000000000011</v>
      </c>
      <c r="O48" s="47">
        <f t="shared" si="3"/>
        <v>-297.6199999999999</v>
      </c>
      <c r="P48" s="50">
        <f aca="true" t="shared" si="8" ref="P48:P53">N48/M48*100</f>
        <v>19.562162162162192</v>
      </c>
      <c r="Q48" s="50">
        <f>N48-277.38</f>
        <v>-204.9999999999999</v>
      </c>
      <c r="R48" s="126">
        <f>N48/277.38</f>
        <v>0.2609416684692484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E49-жовтень!E49</f>
        <v>0</v>
      </c>
      <c r="N49" s="35">
        <f>F49-жовтень!F49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E50-жовтень!E50</f>
        <v>0</v>
      </c>
      <c r="N50" s="35">
        <f>F50-жовтень!F50</f>
        <v>0</v>
      </c>
      <c r="O50" s="47">
        <f t="shared" si="3"/>
        <v>0</v>
      </c>
      <c r="P50" s="50" t="e">
        <f t="shared" si="8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1051.2</v>
      </c>
      <c r="G51" s="135">
        <f t="shared" si="0"/>
        <v>1051.2</v>
      </c>
      <c r="H51" s="137"/>
      <c r="I51" s="136">
        <f t="shared" si="1"/>
        <v>1051.2</v>
      </c>
      <c r="J51" s="136"/>
      <c r="K51" s="138">
        <f>F51-926.78</f>
        <v>124.42000000000007</v>
      </c>
      <c r="L51" s="138">
        <f>F51/926.78*100</f>
        <v>113.4249768013984</v>
      </c>
      <c r="M51" s="137">
        <f>E51-жовтень!E51</f>
        <v>0</v>
      </c>
      <c r="N51" s="137">
        <f>F51-жовтень!F51</f>
        <v>6.900000000000091</v>
      </c>
      <c r="O51" s="138">
        <f t="shared" si="3"/>
        <v>6.900000000000091</v>
      </c>
      <c r="P51" s="136"/>
      <c r="Q51" s="50">
        <f>N51-64.93</f>
        <v>-58.029999999999916</v>
      </c>
      <c r="R51" s="126">
        <f>N51/64.93</f>
        <v>0.10626828892653765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E54-жовтень!E54</f>
        <v>0</v>
      </c>
      <c r="N54" s="35">
        <f>F54-жовтень!F54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588981.99</v>
      </c>
      <c r="G55" s="44">
        <f>F55-E55</f>
        <v>14070.04999999993</v>
      </c>
      <c r="H55" s="45">
        <f>F55/E55*100</f>
        <v>102.44734002219538</v>
      </c>
      <c r="I55" s="31">
        <f>F55-D55</f>
        <v>-18973.079999999958</v>
      </c>
      <c r="J55" s="31">
        <f>F55/D55*100</f>
        <v>96.8791970103975</v>
      </c>
      <c r="K55" s="31">
        <f>K8+K33+K53+K54</f>
        <v>131034.15600000002</v>
      </c>
      <c r="L55" s="31">
        <f>F55/(F55-K55)*100</f>
        <v>128.6133367758215</v>
      </c>
      <c r="M55" s="18">
        <f>M8+M33+M53+M54</f>
        <v>38814.600000000006</v>
      </c>
      <c r="N55" s="18">
        <f>N8+N33+N53+N54</f>
        <v>11292.849999999988</v>
      </c>
      <c r="O55" s="49">
        <f>N55-M55</f>
        <v>-27521.75000000002</v>
      </c>
      <c r="P55" s="31">
        <f>N55/M55*100</f>
        <v>29.09433563659032</v>
      </c>
      <c r="Q55" s="31">
        <f>N55-34768</f>
        <v>-23475.150000000012</v>
      </c>
      <c r="R55" s="171">
        <f>N55/34768</f>
        <v>0.3248058559595026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593.14</v>
      </c>
      <c r="G64" s="43">
        <f t="shared" si="9"/>
        <v>-1906.8600000000001</v>
      </c>
      <c r="H64" s="35"/>
      <c r="I64" s="53">
        <f t="shared" si="10"/>
        <v>-1906.8600000000001</v>
      </c>
      <c r="J64" s="53">
        <f t="shared" si="12"/>
        <v>23.7256</v>
      </c>
      <c r="K64" s="53">
        <f>F64-1921.61</f>
        <v>-1328.4699999999998</v>
      </c>
      <c r="L64" s="53">
        <f>F64/1921.61*100</f>
        <v>30.866825214273447</v>
      </c>
      <c r="M64" s="35">
        <f>E64-жовтень!E64</f>
        <v>900</v>
      </c>
      <c r="N64" s="35">
        <f>F64-жовтень!F64</f>
        <v>0.009999999999990905</v>
      </c>
      <c r="O64" s="47">
        <f t="shared" si="11"/>
        <v>-899.99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7212.08</v>
      </c>
      <c r="G65" s="43">
        <f t="shared" si="9"/>
        <v>-548.6499999999996</v>
      </c>
      <c r="H65" s="35">
        <f>F65/E65*100</f>
        <v>92.93043309070153</v>
      </c>
      <c r="I65" s="53">
        <f t="shared" si="10"/>
        <v>-4363.92</v>
      </c>
      <c r="J65" s="53">
        <f t="shared" si="12"/>
        <v>62.302004146510015</v>
      </c>
      <c r="K65" s="53">
        <f>F65-3828.89</f>
        <v>3383.19</v>
      </c>
      <c r="L65" s="53">
        <f>F65/3828.89*100</f>
        <v>188.35955067917857</v>
      </c>
      <c r="M65" s="35">
        <f>E65-жовтень!E65</f>
        <v>1024.75</v>
      </c>
      <c r="N65" s="35">
        <f>F65-жовтень!F65</f>
        <v>0</v>
      </c>
      <c r="O65" s="47">
        <f t="shared" si="11"/>
        <v>-1024.75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2263.08</v>
      </c>
      <c r="G66" s="43">
        <f t="shared" si="9"/>
        <v>782.0799999999999</v>
      </c>
      <c r="H66" s="35">
        <f>F66/E66*100</f>
        <v>152.80756245779878</v>
      </c>
      <c r="I66" s="53">
        <f t="shared" si="10"/>
        <v>-736.9200000000001</v>
      </c>
      <c r="J66" s="53">
        <f t="shared" si="12"/>
        <v>75.436</v>
      </c>
      <c r="K66" s="53">
        <f>F66-2012.55</f>
        <v>250.52999999999997</v>
      </c>
      <c r="L66" s="53">
        <f>F66/2012.55*100</f>
        <v>112.44838637549377</v>
      </c>
      <c r="M66" s="35">
        <f>E66-жовтень!E66</f>
        <v>148.0999999999999</v>
      </c>
      <c r="N66" s="35">
        <f>F66-жовтень!F66</f>
        <v>199.6500000000001</v>
      </c>
      <c r="O66" s="47">
        <f t="shared" si="11"/>
        <v>51.55000000000018</v>
      </c>
      <c r="P66" s="53">
        <f>N66/M66*100</f>
        <v>134.80756245779892</v>
      </c>
      <c r="Q66" s="53">
        <f>N66-1.05</f>
        <v>198.60000000000008</v>
      </c>
      <c r="R66" s="129">
        <f>N66/1.05</f>
        <v>190.14285714285722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10068.3</v>
      </c>
      <c r="G67" s="55">
        <f t="shared" si="9"/>
        <v>-1673.4300000000003</v>
      </c>
      <c r="H67" s="65">
        <f>F67/E67*100</f>
        <v>85.74801157921362</v>
      </c>
      <c r="I67" s="54">
        <f t="shared" si="10"/>
        <v>-7007.700000000001</v>
      </c>
      <c r="J67" s="54">
        <f t="shared" si="12"/>
        <v>58.961700632466616</v>
      </c>
      <c r="K67" s="54">
        <f>K64+K65+K66</f>
        <v>2305.25</v>
      </c>
      <c r="L67" s="54"/>
      <c r="M67" s="55">
        <f>M64+M65+M66</f>
        <v>2072.85</v>
      </c>
      <c r="N67" s="55">
        <f>N64+N65+N66</f>
        <v>199.66000000000008</v>
      </c>
      <c r="O67" s="54">
        <f t="shared" si="11"/>
        <v>-1873.1899999999998</v>
      </c>
      <c r="P67" s="54">
        <f>N67/M67*100</f>
        <v>9.632148973635339</v>
      </c>
      <c r="Q67" s="54">
        <f>N67-7985.28</f>
        <v>-7785.62</v>
      </c>
      <c r="R67" s="173">
        <f>N67/7985.28</f>
        <v>0.025003506451871455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30.02</v>
      </c>
      <c r="G72" s="43">
        <f>F72-E72</f>
        <v>-4.400000000000002</v>
      </c>
      <c r="H72" s="35">
        <f>F72/E72*100</f>
        <v>87.21673445671121</v>
      </c>
      <c r="I72" s="53">
        <f>F72-D72</f>
        <v>-11.98</v>
      </c>
      <c r="J72" s="53">
        <f>F72/D72*100</f>
        <v>71.47619047619047</v>
      </c>
      <c r="K72" s="53">
        <f>F72-34.05</f>
        <v>-4.029999999999998</v>
      </c>
      <c r="L72" s="53">
        <f>F72/34.05*100</f>
        <v>88.16446402349487</v>
      </c>
      <c r="M72" s="35">
        <f>E72-жовтень!E72</f>
        <v>1</v>
      </c>
      <c r="N72" s="35">
        <f>F72-жовтень!F72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10045.26</v>
      </c>
      <c r="G74" s="44">
        <f>F74-E74</f>
        <v>-1779.8899999999994</v>
      </c>
      <c r="H74" s="45">
        <f>F74/E74*100</f>
        <v>84.94826704101006</v>
      </c>
      <c r="I74" s="31">
        <f>F74-D74</f>
        <v>-7126.74</v>
      </c>
      <c r="J74" s="31">
        <f>F74/D74*100</f>
        <v>58.4979035639413</v>
      </c>
      <c r="K74" s="31">
        <f>K62+K67+K71+K72</f>
        <v>1907.19</v>
      </c>
      <c r="L74" s="31"/>
      <c r="M74" s="27">
        <f>M62+M72+M67+M71</f>
        <v>2073.85</v>
      </c>
      <c r="N74" s="27">
        <f>N62+N72+N67+N71+N73</f>
        <v>199.66000000000008</v>
      </c>
      <c r="O74" s="31">
        <f>N74-M74</f>
        <v>-1874.1899999999998</v>
      </c>
      <c r="P74" s="31">
        <f>N74/M74*100</f>
        <v>9.627504400028936</v>
      </c>
      <c r="Q74" s="31">
        <f>N74-8104.96</f>
        <v>-7905.3</v>
      </c>
      <c r="R74" s="127">
        <f>N74/8104.96</f>
        <v>0.0246342980101074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599027.25</v>
      </c>
      <c r="G75" s="44">
        <f>F75-E75</f>
        <v>12290.159999999916</v>
      </c>
      <c r="H75" s="45">
        <f>F75/E75*100</f>
        <v>102.09466219358995</v>
      </c>
      <c r="I75" s="31">
        <f>F75-D75</f>
        <v>-26099.81999999995</v>
      </c>
      <c r="J75" s="31">
        <f>F75/D75*100</f>
        <v>95.82487765247473</v>
      </c>
      <c r="K75" s="31">
        <f>K55+K74</f>
        <v>132941.34600000002</v>
      </c>
      <c r="L75" s="31">
        <f>F75/(F75-K75)*100</f>
        <v>128.52292782491014</v>
      </c>
      <c r="M75" s="18">
        <f>M55+M74</f>
        <v>40888.450000000004</v>
      </c>
      <c r="N75" s="18">
        <f>N55+N74</f>
        <v>11492.509999999987</v>
      </c>
      <c r="O75" s="31">
        <f>N75-M75</f>
        <v>-29395.940000000017</v>
      </c>
      <c r="P75" s="31">
        <f>N75/M75*100</f>
        <v>28.106983757026704</v>
      </c>
      <c r="Q75" s="31">
        <f>N75-42872.96</f>
        <v>-31380.45000000001</v>
      </c>
      <c r="R75" s="127">
        <f>N75/42872.96</f>
        <v>0.26805963479078626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18</v>
      </c>
      <c r="D77" s="4" t="s">
        <v>118</v>
      </c>
    </row>
    <row r="78" spans="2:17" ht="31.5">
      <c r="B78" s="71" t="s">
        <v>154</v>
      </c>
      <c r="C78" s="34">
        <f>IF(O55&lt;0,ABS(O55/C77),0)</f>
        <v>1528.9861111111122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42312</v>
      </c>
      <c r="D79" s="34">
        <v>3417.1</v>
      </c>
      <c r="G79" s="4" t="s">
        <v>166</v>
      </c>
      <c r="N79" s="236"/>
      <c r="O79" s="236"/>
    </row>
    <row r="80" spans="3:15" ht="15.75">
      <c r="C80" s="111">
        <v>42311</v>
      </c>
      <c r="D80" s="34">
        <v>2186.24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42310</v>
      </c>
      <c r="D81" s="34">
        <v>5689.54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199.85947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226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5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6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5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6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314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6"/>
      <c r="O79" s="236"/>
    </row>
    <row r="80" spans="3:15" ht="15.75">
      <c r="C80" s="111">
        <v>42306</v>
      </c>
      <c r="D80" s="34">
        <v>6844.5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42305</v>
      </c>
      <c r="D81" s="34">
        <v>4690.4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257.30632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306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297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290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281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273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260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7" t="s">
        <v>217</v>
      </c>
      <c r="J4" s="241" t="s">
        <v>218</v>
      </c>
      <c r="K4" s="116" t="s">
        <v>172</v>
      </c>
      <c r="L4" s="121" t="s">
        <v>171</v>
      </c>
      <c r="M4" s="241"/>
      <c r="N4" s="225" t="s">
        <v>236</v>
      </c>
      <c r="O4" s="227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6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2015-11-04T08:44:09Z</cp:lastPrinted>
  <dcterms:created xsi:type="dcterms:W3CDTF">2003-07-28T11:27:56Z</dcterms:created>
  <dcterms:modified xsi:type="dcterms:W3CDTF">2015-11-05T10:04:53Z</dcterms:modified>
  <cp:category/>
  <cp:version/>
  <cp:contentType/>
  <cp:contentStatus/>
</cp:coreProperties>
</file>